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85" windowHeight="4350" activeTab="0"/>
  </bookViews>
  <sheets>
    <sheet name="座標" sheetId="1" r:id="rId1"/>
    <sheet name="Sheet3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<sst xmlns="http://schemas.openxmlformats.org/spreadsheetml/2006/main" count="14" uniqueCount="12">
  <si>
    <t>世界測地系</t>
  </si>
  <si>
    <t>日本測地系</t>
  </si>
  <si>
    <t>【日本測地系から世界測地系】</t>
  </si>
  <si>
    <t>【世界測地系から日本測地系】（免責：このプログラムによって障害が生じても一切関知しませんby Hasekin　2017/2/5）</t>
  </si>
  <si>
    <t>北緯３７度２７分０１</t>
  </si>
  <si>
    <t>東経１４０度１６分30</t>
  </si>
  <si>
    <t>mapionのURLから日本測地</t>
  </si>
  <si>
    <t>https://www.mapion.co.jp/m2/34.04363651031233,132.92452810344503,17</t>
  </si>
  <si>
    <t>32.011510, 130.195882</t>
  </si>
  <si>
    <t>E128.36.27.9  N27.21.19.0</t>
  </si>
  <si>
    <t>北緯３７度２１分２２．１</t>
  </si>
  <si>
    <t>東経１３７度０６分２５．２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</si>
</sst>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_ "/>
    <numFmt numFmtId="181" formatCode="0.00000_ "/>
    <numFmt numFmtId="182" formatCode="0.00000000_);[Red]\(0.00000000\)"/>
    <numFmt numFmtId="183" formatCode="0.0000000000;[Red]0.0000000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0" fillId="3" borderId="0" xfId="0" applyNumberForma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0" fillId="32" borderId="0" xfId="0" applyFill="1" applyBorder="1" applyAlignment="1">
      <alignment vertical="center" shrinkToFit="1"/>
    </xf>
    <xf numFmtId="182" fontId="0" fillId="0" borderId="0" xfId="0" applyNumberFormat="1" applyFill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Font="1" applyBorder="1" applyAlignment="1">
      <alignment horizontal="left" vertical="center" indent="4" shrinkToFit="1"/>
    </xf>
    <xf numFmtId="0" fontId="0" fillId="3" borderId="0" xfId="0" applyFill="1" applyBorder="1" applyAlignment="1">
      <alignment vertical="center"/>
    </xf>
    <xf numFmtId="0" fontId="0" fillId="33" borderId="0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10" borderId="0" xfId="0" applyFill="1" applyAlignment="1">
      <alignment vertical="center"/>
    </xf>
    <xf numFmtId="0" fontId="42" fillId="34" borderId="0" xfId="0" applyFont="1" applyFill="1" applyAlignment="1">
      <alignment vertical="center"/>
    </xf>
    <xf numFmtId="0" fontId="5" fillId="34" borderId="0" xfId="43" applyFill="1" applyAlignment="1" applyProtection="1">
      <alignment vertical="center"/>
      <protection/>
    </xf>
    <xf numFmtId="0" fontId="0" fillId="35" borderId="0" xfId="0" applyFill="1" applyBorder="1" applyAlignment="1">
      <alignment vertical="center" shrinkToFit="1"/>
    </xf>
    <xf numFmtId="0" fontId="0" fillId="35" borderId="0" xfId="0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W12"/>
  <sheetViews>
    <sheetView tabSelected="1" zoomScalePageLayoutView="0" workbookViewId="0" topLeftCell="A1">
      <selection activeCell="U17" sqref="U17"/>
    </sheetView>
  </sheetViews>
  <sheetFormatPr defaultColWidth="9.140625" defaultRowHeight="15"/>
  <cols>
    <col min="1" max="1" width="17.57421875" style="0" customWidth="1"/>
    <col min="2" max="2" width="15.28125" style="0" customWidth="1"/>
    <col min="3" max="3" width="10.00390625" style="0" hidden="1" customWidth="1"/>
    <col min="4" max="4" width="11.00390625" style="0" hidden="1" customWidth="1"/>
    <col min="5" max="6" width="4.57421875" style="0" hidden="1" customWidth="1"/>
    <col min="7" max="7" width="3.421875" style="0" hidden="1" customWidth="1"/>
    <col min="8" max="8" width="12.8515625" style="0" hidden="1" customWidth="1"/>
    <col min="9" max="11" width="3.8515625" style="0" hidden="1" customWidth="1"/>
    <col min="12" max="12" width="14.421875" style="0" hidden="1" customWidth="1"/>
    <col min="13" max="13" width="4.00390625" style="0" hidden="1" customWidth="1"/>
    <col min="14" max="14" width="4.57421875" style="0" hidden="1" customWidth="1"/>
    <col min="15" max="15" width="4.421875" style="0" hidden="1" customWidth="1"/>
    <col min="16" max="16" width="13.140625" style="0" hidden="1" customWidth="1"/>
    <col min="17" max="19" width="4.00390625" style="0" hidden="1" customWidth="1"/>
    <col min="20" max="20" width="11.7109375" style="0" hidden="1" customWidth="1"/>
    <col min="21" max="21" width="23.7109375" style="0" customWidth="1"/>
    <col min="22" max="22" width="19.140625" style="0" hidden="1" customWidth="1"/>
    <col min="23" max="23" width="18.8515625" style="0" hidden="1" customWidth="1"/>
  </cols>
  <sheetData>
    <row r="1" spans="1:8" ht="13.5">
      <c r="A1" s="1" t="s">
        <v>3</v>
      </c>
      <c r="D1" s="1"/>
      <c r="E1" s="1"/>
      <c r="F1" s="1"/>
      <c r="G1" s="1"/>
      <c r="H1" s="1"/>
    </row>
    <row r="2" spans="1:21" ht="13.5">
      <c r="A2" t="s">
        <v>0</v>
      </c>
      <c r="C2" s="1"/>
      <c r="D2" s="1"/>
      <c r="E2" s="1"/>
      <c r="F2" s="1"/>
      <c r="G2" s="1"/>
      <c r="H2" s="1"/>
      <c r="U2" t="s">
        <v>1</v>
      </c>
    </row>
    <row r="3" spans="1:21" ht="13.5" hidden="1">
      <c r="A3" s="7" t="s">
        <v>4</v>
      </c>
      <c r="B3" s="7" t="s">
        <v>5</v>
      </c>
      <c r="C3" s="2">
        <f>VALUE(MID(A3,3,2))*10000+VALUE(MID(A3,6,2))*100+VALUE(MID(A3,9,2))</f>
        <v>372701</v>
      </c>
      <c r="D3" s="2">
        <f>VALUE(MID(B3,3,3))*10000+VALUE(MID(B3,7,2))*100+VALUE(MID(B3,10,2))</f>
        <v>1401630</v>
      </c>
      <c r="E3" s="2" t="str">
        <f>LEFT(C3,2)</f>
        <v>37</v>
      </c>
      <c r="F3" s="2" t="str">
        <f>MID(C3,3,2)</f>
        <v>27</v>
      </c>
      <c r="G3" s="2" t="str">
        <f>MID(C3,5,2)</f>
        <v>01</v>
      </c>
      <c r="H3" s="6">
        <f>E3+F3/60+G3/60/60</f>
        <v>37.45027777777778</v>
      </c>
      <c r="I3" s="2" t="str">
        <f>LEFT(D3,3)</f>
        <v>140</v>
      </c>
      <c r="J3" s="2" t="str">
        <f>MID(D3,4,2)</f>
        <v>16</v>
      </c>
      <c r="K3" s="2" t="str">
        <f>MID(D3,6,2)</f>
        <v>30</v>
      </c>
      <c r="L3" s="6">
        <f>I3+J3/60+K3/60/60</f>
        <v>140.275</v>
      </c>
      <c r="M3" s="2">
        <f aca="true" t="shared" si="0" ref="M3:M8">ROUNDDOWN(P3,0)</f>
        <v>37</v>
      </c>
      <c r="N3" s="2">
        <f aca="true" t="shared" si="1" ref="N3:N8">ROUNDDOWN((P3-M3)*60,0)</f>
        <v>26</v>
      </c>
      <c r="O3" s="2">
        <f aca="true" t="shared" si="2" ref="O3:O8">ROUND((P3-M3-N3/60)*3600,1)</f>
        <v>50</v>
      </c>
      <c r="P3" s="4">
        <f aca="true" t="shared" si="3" ref="P3:P8">(0.999916957*H3-0.000017464*L3-0.999916957*0.0046017+0.01004*0.000017464)/(0.999916957*0.99989305+0.000046038*0.000017464)</f>
        <v>37.44723123834896</v>
      </c>
      <c r="Q3" s="2">
        <f aca="true" t="shared" si="4" ref="Q3:Q8">ROUNDDOWN(T3,0)</f>
        <v>140</v>
      </c>
      <c r="R3" s="2">
        <f aca="true" t="shared" si="5" ref="R3:R8">ROUNDDOWN((T3-Q3)*60,0)</f>
        <v>16</v>
      </c>
      <c r="S3" s="2">
        <f aca="true" t="shared" si="6" ref="S3:S8">ROUND((T3-Q3-R3/60)*3600,1)</f>
        <v>42</v>
      </c>
      <c r="T3" s="4">
        <f aca="true" t="shared" si="7" ref="T3:T8">(0.000046038*H3+0.99989305*L3-0.000046038*0.0046017-0.99989305*0.01004)/(0.000046038*0.000017464+0.99989305*0.999916957)</f>
        <v>140.27833312924983</v>
      </c>
      <c r="U3" s="3" t="str">
        <f aca="true" t="shared" si="8" ref="U3:U8">CONCATENATE("E",Q3,".",R3,".",S3,IF(LEFT(RIGHT(S3,2),1)=".","",".0")," N",M3,".",N3,".",O3,IF(LEFT(RIGHT(O3,2),1)=".","",".0"))</f>
        <v>E140.16.42.0 N37.26.50.0</v>
      </c>
    </row>
    <row r="4" spans="1:21" ht="13.5" hidden="1">
      <c r="A4" s="7" t="s">
        <v>10</v>
      </c>
      <c r="B4" s="7" t="s">
        <v>11</v>
      </c>
      <c r="C4" s="2">
        <f>VALUE(MID(A4,3,2))*10000+VALUE(MID(A4,6,2))*100+VALUE(MID(A4,9,4))</f>
        <v>372122.1</v>
      </c>
      <c r="D4" s="2">
        <f>VALUE(MID(B4,3,3))*10000+VALUE(MID(B4,7,2))*100+VALUE(MID(B4,10,4))</f>
        <v>1370625.2</v>
      </c>
      <c r="E4" s="2" t="str">
        <f>LEFT(C4,2)</f>
        <v>37</v>
      </c>
      <c r="F4" s="2" t="str">
        <f>MID(C4,3,2)</f>
        <v>21</v>
      </c>
      <c r="G4" s="2" t="str">
        <f>MID(C4,5,4)</f>
        <v>22.1</v>
      </c>
      <c r="H4" s="6">
        <f>E4+F4/60+G4/60/60</f>
        <v>37.35613888888889</v>
      </c>
      <c r="I4" s="2" t="str">
        <f>LEFT(D4,3)</f>
        <v>137</v>
      </c>
      <c r="J4" s="2" t="str">
        <f>MID(D4,4,2)</f>
        <v>06</v>
      </c>
      <c r="K4" s="2" t="str">
        <f>MID(D4,6,4)</f>
        <v>25.2</v>
      </c>
      <c r="L4" s="6">
        <f>I4+J4/60+K4/60/60</f>
        <v>137.107</v>
      </c>
      <c r="M4" s="2">
        <f t="shared" si="0"/>
        <v>37</v>
      </c>
      <c r="N4" s="2">
        <f t="shared" si="1"/>
        <v>21</v>
      </c>
      <c r="O4" s="2">
        <f t="shared" si="2"/>
        <v>11.3</v>
      </c>
      <c r="P4" s="4">
        <f t="shared" si="3"/>
        <v>37.35313761676973</v>
      </c>
      <c r="Q4" s="2">
        <f t="shared" si="4"/>
        <v>137</v>
      </c>
      <c r="R4" s="2">
        <f t="shared" si="5"/>
        <v>6</v>
      </c>
      <c r="S4" s="2">
        <f t="shared" si="6"/>
        <v>36.2</v>
      </c>
      <c r="T4" s="4">
        <f t="shared" si="7"/>
        <v>137.11006569493512</v>
      </c>
      <c r="U4" s="3" t="str">
        <f t="shared" si="8"/>
        <v>E137.6.36.2 N37.21.11.3</v>
      </c>
    </row>
    <row r="5" spans="1:21" ht="13.5">
      <c r="A5" s="11">
        <v>350000</v>
      </c>
      <c r="B5" s="11">
        <v>1350000</v>
      </c>
      <c r="E5" s="2" t="str">
        <f>LEFT(A5,2)</f>
        <v>35</v>
      </c>
      <c r="F5" s="2" t="str">
        <f>MID(A5,3,2)</f>
        <v>00</v>
      </c>
      <c r="G5" s="2" t="str">
        <f>MID(A5,5,2)</f>
        <v>00</v>
      </c>
      <c r="H5" s="6">
        <f>E5+F5/60+G5/60/60</f>
        <v>35</v>
      </c>
      <c r="I5" s="2" t="str">
        <f>LEFT(B5,3)</f>
        <v>135</v>
      </c>
      <c r="J5" s="2" t="str">
        <f>MID(B5,4,2)</f>
        <v>00</v>
      </c>
      <c r="K5" s="2" t="str">
        <f>MID(B5,6,2)</f>
        <v>00</v>
      </c>
      <c r="L5" s="6">
        <f>I5+J5/60+K5/60/60</f>
        <v>135</v>
      </c>
      <c r="M5" s="2">
        <f t="shared" si="0"/>
        <v>34</v>
      </c>
      <c r="N5" s="2">
        <f t="shared" si="1"/>
        <v>59</v>
      </c>
      <c r="O5" s="2">
        <f t="shared" si="2"/>
        <v>48.4</v>
      </c>
      <c r="P5" s="4">
        <f t="shared" si="3"/>
        <v>34.996783517408545</v>
      </c>
      <c r="Q5" s="2">
        <f t="shared" si="4"/>
        <v>135</v>
      </c>
      <c r="R5" s="2">
        <f t="shared" si="5"/>
        <v>0</v>
      </c>
      <c r="S5" s="2">
        <f t="shared" si="6"/>
        <v>10</v>
      </c>
      <c r="T5" s="4">
        <f t="shared" si="7"/>
        <v>135.0027822179633</v>
      </c>
      <c r="U5" s="3" t="str">
        <f t="shared" si="8"/>
        <v>E135.0.10.0 N34.59.48.4</v>
      </c>
    </row>
    <row r="6" spans="3:21" ht="13.5" hidden="1">
      <c r="C6" s="2"/>
      <c r="D6" s="2"/>
      <c r="E6" s="2"/>
      <c r="F6" s="2"/>
      <c r="G6" s="2"/>
      <c r="H6" s="5">
        <v>37.300899</v>
      </c>
      <c r="I6" s="2">
        <f>LEFT(D6,3)</f>
      </c>
      <c r="J6" s="2">
        <f>MID(D6,4,2)</f>
      </c>
      <c r="K6" s="2">
        <f>MID(D6,6,2)</f>
      </c>
      <c r="L6" s="5">
        <v>137.152377</v>
      </c>
      <c r="M6" s="2">
        <f t="shared" si="0"/>
        <v>37</v>
      </c>
      <c r="N6" s="2">
        <f t="shared" si="1"/>
        <v>17</v>
      </c>
      <c r="O6" s="2">
        <f t="shared" si="2"/>
        <v>52.4</v>
      </c>
      <c r="P6" s="4">
        <f t="shared" si="3"/>
        <v>37.29789102677271</v>
      </c>
      <c r="Q6" s="2">
        <f t="shared" si="4"/>
        <v>137</v>
      </c>
      <c r="R6" s="2">
        <f t="shared" si="5"/>
        <v>9</v>
      </c>
      <c r="S6" s="2">
        <f t="shared" si="6"/>
        <v>19.6</v>
      </c>
      <c r="T6" s="4">
        <f t="shared" si="7"/>
        <v>137.15544391983656</v>
      </c>
      <c r="U6" s="3" t="str">
        <f t="shared" si="8"/>
        <v>E137.9.19.6 N37.17.52.4</v>
      </c>
    </row>
    <row r="7" spans="1:21" ht="13.5">
      <c r="A7" s="17" t="s">
        <v>8</v>
      </c>
      <c r="B7" s="20"/>
      <c r="H7" s="8" t="str">
        <f>LEFT(A7,9)</f>
        <v>32.011510</v>
      </c>
      <c r="I7" s="8" t="str">
        <f>LEFT(A7,3)</f>
        <v>32.</v>
      </c>
      <c r="J7" s="8" t="str">
        <f>MID(A7,4,2)</f>
        <v>01</v>
      </c>
      <c r="K7" s="8" t="str">
        <f>MID(A7,6,2)</f>
        <v>15</v>
      </c>
      <c r="L7" s="8" t="str">
        <f>RIGHT(A7,10)</f>
        <v>130.195882</v>
      </c>
      <c r="M7" s="2">
        <f t="shared" si="0"/>
        <v>32</v>
      </c>
      <c r="N7" s="2">
        <f t="shared" si="1"/>
        <v>0</v>
      </c>
      <c r="O7" s="2">
        <f t="shared" si="2"/>
        <v>29</v>
      </c>
      <c r="P7" s="4">
        <f t="shared" si="3"/>
        <v>32.008057781678836</v>
      </c>
      <c r="Q7" s="2">
        <f t="shared" si="4"/>
        <v>130</v>
      </c>
      <c r="R7" s="2">
        <f t="shared" si="5"/>
        <v>11</v>
      </c>
      <c r="S7" s="2">
        <f t="shared" si="6"/>
        <v>53.3</v>
      </c>
      <c r="T7" s="4">
        <f t="shared" si="7"/>
        <v>130.19812763007695</v>
      </c>
      <c r="U7" s="3" t="str">
        <f t="shared" si="8"/>
        <v>E130.11.53.3 N32.0.29.0</v>
      </c>
    </row>
    <row r="8" spans="1:23" ht="13.5" hidden="1">
      <c r="A8" s="18" t="s">
        <v>7</v>
      </c>
      <c r="B8" s="16"/>
      <c r="H8" s="8" t="str">
        <f>MID(A8,29,9)</f>
        <v>34.043636</v>
      </c>
      <c r="I8" s="8" t="str">
        <f>MID(A8,29,3)</f>
        <v>34.</v>
      </c>
      <c r="J8" s="8" t="str">
        <f>MID(A8,32,2)</f>
        <v>04</v>
      </c>
      <c r="K8" s="8" t="str">
        <f>MID(A8,34,2)</f>
        <v>36</v>
      </c>
      <c r="L8" s="8" t="str">
        <f>MID(A8,47,10)</f>
        <v>132.924528</v>
      </c>
      <c r="M8" s="2">
        <f t="shared" si="0"/>
        <v>34</v>
      </c>
      <c r="N8" s="2">
        <f t="shared" si="1"/>
        <v>2</v>
      </c>
      <c r="O8" s="2">
        <f t="shared" si="2"/>
        <v>25.3</v>
      </c>
      <c r="P8" s="4">
        <f t="shared" si="3"/>
        <v>34.04035347703801</v>
      </c>
      <c r="Q8" s="2">
        <f t="shared" si="4"/>
        <v>132</v>
      </c>
      <c r="R8" s="2">
        <f t="shared" si="5"/>
        <v>55</v>
      </c>
      <c r="S8" s="2">
        <f t="shared" si="6"/>
        <v>37.5</v>
      </c>
      <c r="T8" s="4">
        <f t="shared" si="7"/>
        <v>132.92709381444502</v>
      </c>
      <c r="U8" s="3" t="str">
        <f t="shared" si="8"/>
        <v>E132.55.37.5 N34.2.25.3</v>
      </c>
      <c r="W8" t="s">
        <v>6</v>
      </c>
    </row>
    <row r="9" spans="3:8" ht="13.5">
      <c r="C9" s="1"/>
      <c r="D9" s="1"/>
      <c r="E9" s="1"/>
      <c r="F9" s="1"/>
      <c r="G9" s="1"/>
      <c r="H9" s="1"/>
    </row>
    <row r="10" spans="1:11" ht="13.5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21" ht="13.5">
      <c r="A11" s="1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U11" t="s">
        <v>0</v>
      </c>
    </row>
    <row r="12" spans="1:23" s="15" customFormat="1" ht="13.5">
      <c r="A12" s="12" t="s">
        <v>9</v>
      </c>
      <c r="B12" s="19" t="str">
        <f>LEFT(A12,12)</f>
        <v>E128.36.27.9</v>
      </c>
      <c r="C12" s="13" t="str">
        <f>IF(LEFT(RIGHT(A12,4),1)=".",RIGHT(A12,10),RIGHT(A12,11))</f>
        <v>N27.21.19.0</v>
      </c>
      <c r="D12" s="13" t="str">
        <f>IF(LEFT(C12,1)="N",MID(C12,2,2),MID(C12,3,2))</f>
        <v>27</v>
      </c>
      <c r="E12" s="13" t="str">
        <f>IF(MID(C12,5,1)=".",MID(C12,6,1),MID(C12,5,2))</f>
        <v>21</v>
      </c>
      <c r="F12" s="13" t="str">
        <f>IF(LEFT(RIGHT(A12,4),1)=".",RIGHT(A12,3),RIGHT(A12,4))</f>
        <v>19.0</v>
      </c>
      <c r="G12" s="13" t="str">
        <f>MID(A12,2,3)</f>
        <v>128</v>
      </c>
      <c r="H12" s="13" t="str">
        <f>IF(MID(A12,7,1)=".",MID(A12,6,1),MID(A12,6,2))</f>
        <v>36</v>
      </c>
      <c r="I12" s="13" t="str">
        <f>IF(MID(A12,8,1)=".",MID(A12,9,4),MID(A12,8,4))</f>
        <v>27.9</v>
      </c>
      <c r="J12" s="13">
        <f>D12+E12/60+F12/60/60</f>
        <v>27.35527777777778</v>
      </c>
      <c r="K12" s="13">
        <f>G12+H12/60+I12/60/60</f>
        <v>128.60774999999998</v>
      </c>
      <c r="L12" s="10">
        <f>0.99989305*J12+0.000017464*K12+0.0046017</f>
        <v>27.35919983656544</v>
      </c>
      <c r="M12" s="14">
        <f>0.999916957*K12-0.000046038*J12+0.01004</f>
        <v>128.6058506443384</v>
      </c>
      <c r="U12" s="9" t="str">
        <f>CONCATENATE(ROUND(L12,5),",",ROUND(M12,5))</f>
        <v>27.3592,128.60585</v>
      </c>
      <c r="V12" s="9" t="str">
        <f>CONCATENATE(",",ROUND(L12,5),",",ROUND(M12,5),",■")</f>
        <v>,27.3592,128.60585,■</v>
      </c>
      <c r="W12" s="9" t="str">
        <f>CONCATENATE("http://www.mapion.co.jp/m2/",TEXT(L12,"00.00000000"),",",TEXT(M12,"000.00000000"),",16")</f>
        <v>http://www.mapion.co.jp/m2/27.35919984,128.60585064,16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epson-134rtri</dc:creator>
  <cp:keywords/>
  <dc:description/>
  <cp:lastModifiedBy>hitoshi hasegawa</cp:lastModifiedBy>
  <dcterms:created xsi:type="dcterms:W3CDTF">2012-12-16T23:24:48Z</dcterms:created>
  <dcterms:modified xsi:type="dcterms:W3CDTF">2018-12-21T09:31:05Z</dcterms:modified>
  <cp:category/>
  <cp:version/>
  <cp:contentType/>
  <cp:contentStatus/>
</cp:coreProperties>
</file>